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3545" activeTab="1"/>
  </bookViews>
  <sheets>
    <sheet name="Noctilucent Computer" sheetId="1" r:id="rId1"/>
    <sheet name="Viewing Times" sheetId="2" r:id="rId2"/>
  </sheets>
  <definedNames/>
  <calcPr fullCalcOnLoad="1"/>
</workbook>
</file>

<file path=xl/sharedStrings.xml><?xml version="1.0" encoding="utf-8"?>
<sst xmlns="http://schemas.openxmlformats.org/spreadsheetml/2006/main" count="126" uniqueCount="106">
  <si>
    <t>Height of cloud feet</t>
  </si>
  <si>
    <t>Angle A</t>
  </si>
  <si>
    <t>Height sm</t>
  </si>
  <si>
    <t>Height NM</t>
  </si>
  <si>
    <t>Earth Circum NM</t>
  </si>
  <si>
    <t>Earth Diameter NM</t>
  </si>
  <si>
    <t>Earth radius NM</t>
  </si>
  <si>
    <t>Height of observer feet (jet)</t>
  </si>
  <si>
    <t>Side a</t>
  </si>
  <si>
    <t>Side b</t>
  </si>
  <si>
    <t>Angle B</t>
  </si>
  <si>
    <t>sin B equals</t>
  </si>
  <si>
    <t>Therefore Angle C</t>
  </si>
  <si>
    <t>c (quick check) Nm</t>
  </si>
  <si>
    <t>Side c</t>
  </si>
  <si>
    <t>Noctilucent Calculator</t>
  </si>
  <si>
    <t>(try +5)</t>
  </si>
  <si>
    <t>Angle above level</t>
  </si>
  <si>
    <t>Terminus to cloud. Max distance (Nm)</t>
  </si>
  <si>
    <t>A2</t>
  </si>
  <si>
    <t>a2=a</t>
  </si>
  <si>
    <t>b2=Earth r</t>
  </si>
  <si>
    <t>Max distance from cloud to terminator ==&gt;</t>
  </si>
  <si>
    <t>&lt;==  Total max distance from observer to terminator (on map) Nm</t>
  </si>
  <si>
    <t>C2</t>
  </si>
  <si>
    <t>Max. overlap angle</t>
  </si>
  <si>
    <t>Max. overlap distance</t>
  </si>
  <si>
    <t>Height km</t>
  </si>
  <si>
    <t>(try 275,000 ft)</t>
  </si>
  <si>
    <t>Nautical Night (-12)</t>
  </si>
  <si>
    <t>Astronomical Night (-18)</t>
  </si>
  <si>
    <t>NLC max BEST (-16)</t>
  </si>
  <si>
    <t>Civil Night + NLC min BEST (-6)</t>
  </si>
  <si>
    <t>Negative solar dec angles:</t>
  </si>
  <si>
    <t>Date</t>
  </si>
  <si>
    <t>July</t>
  </si>
  <si>
    <t>Sunset</t>
  </si>
  <si>
    <t>sun-6</t>
  </si>
  <si>
    <t>sun-16</t>
  </si>
  <si>
    <t>max -dec</t>
  </si>
  <si>
    <t>Sunrise</t>
  </si>
  <si>
    <t>sun-18</t>
  </si>
  <si>
    <t>sun-12</t>
  </si>
  <si>
    <t>Astro</t>
  </si>
  <si>
    <t>Best Max</t>
  </si>
  <si>
    <t>Nauical</t>
  </si>
  <si>
    <t>Day</t>
  </si>
  <si>
    <t>Nautical</t>
  </si>
  <si>
    <t>Civil+min</t>
  </si>
  <si>
    <t>Max Ht.</t>
  </si>
  <si>
    <t>Angle from level</t>
  </si>
  <si>
    <t>Distance</t>
  </si>
  <si>
    <t>&lt;== Theory Horizon:</t>
  </si>
  <si>
    <t>Airborne (info only)</t>
  </si>
  <si>
    <t>(try 37,000 ft) (or 0)</t>
  </si>
  <si>
    <t>Distance (on map)</t>
  </si>
  <si>
    <t>-</t>
  </si>
  <si>
    <t>Sat</t>
  </si>
  <si>
    <t>Sun</t>
  </si>
  <si>
    <t>GMT:</t>
  </si>
  <si>
    <t>Ground:</t>
  </si>
  <si>
    <t>Birmingham view times: (All times GMT) (From Ground Level)</t>
  </si>
  <si>
    <t>Summer Sol (min) Max Below level (degrees)</t>
  </si>
  <si>
    <t>Artic Circle N</t>
  </si>
  <si>
    <t>(Home) Latitude N</t>
  </si>
  <si>
    <t>Min Summer Sol Terminator distance (Nm)</t>
  </si>
  <si>
    <t>(fn of cloud ht)</t>
  </si>
  <si>
    <t>Term Nm</t>
  </si>
  <si>
    <t>sun -11.2</t>
  </si>
  <si>
    <t>sun -10.5</t>
  </si>
  <si>
    <t>sun -10.0</t>
  </si>
  <si>
    <t>sun -9.7</t>
  </si>
  <si>
    <t>45-critical</t>
  </si>
  <si>
    <t>sun -10</t>
  </si>
  <si>
    <t>Note: used Logsat 5.2, sun, neg aquire angle.</t>
  </si>
  <si>
    <t>all sky</t>
  </si>
  <si>
    <t>sun -12.8</t>
  </si>
  <si>
    <t>Cloud Ht 275,000 ft.</t>
  </si>
  <si>
    <t>(degrees) equal to maximium sun below "level" possible angle</t>
  </si>
  <si>
    <t>Conclusions:</t>
  </si>
  <si>
    <t>From air in June/July "possible" to see low NLC</t>
  </si>
  <si>
    <t>from N45 all night, though unlikely</t>
  </si>
  <si>
    <t>viewing becomes critically difficult and</t>
  </si>
  <si>
    <t>From Birmingham, by 1:45 Hrs after sunset</t>
  </si>
  <si>
    <t>is likely to rapidly fail in the low haze of horizon.</t>
  </si>
  <si>
    <t>Brimingham (N52.5) seems to be at a "critical"</t>
  </si>
  <si>
    <t>viewing Latitude. Viewers further north rapidly</t>
  </si>
  <si>
    <t>gain a significant advantage. For example</t>
  </si>
  <si>
    <t>sun -9.3</t>
  </si>
  <si>
    <t>km</t>
  </si>
  <si>
    <t>&lt;==Distance of cloud (Nm) or</t>
  </si>
  <si>
    <t>100 Nm north near Scarborough, a 10 deg up cloud</t>
  </si>
  <si>
    <t>Max sum sol.-14 Birmingham</t>
  </si>
  <si>
    <t>is 20 deg up, and you have 12 deg midnight sol viewing.</t>
  </si>
  <si>
    <t>100 Nm further south near Brighton, the same 10 deg up</t>
  </si>
  <si>
    <t>cloud is half the height in the haze of 5 deg horizon</t>
  </si>
  <si>
    <t>and midnight summer sol viewing is realistically</t>
  </si>
  <si>
    <t>impossible.</t>
  </si>
  <si>
    <t>By Edinburgh (N56), the same Birmingham +10 cloud</t>
  </si>
  <si>
    <t>is 60 degrees high. At midnight of the summer solstice</t>
  </si>
  <si>
    <t>NLC may be visible up to 30 degrees above northern</t>
  </si>
  <si>
    <t>as a minimium.</t>
  </si>
  <si>
    <t>NLC Home page author Tom McEwan lives near here.</t>
  </si>
  <si>
    <t>Canadian coordinator, Mark Zalcik, also live near this</t>
  </si>
  <si>
    <t>critical latitude. The rest of us tend not to and are</t>
  </si>
  <si>
    <t>limited to a short window in post-dusk and pre-dawn.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</si>
</sst>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 ;[Red]\-0.0\ "/>
    <numFmt numFmtId="165" formatCode="0.00_ ;[Red]\-0.00\ "/>
    <numFmt numFmtId="166" formatCode="h:mm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18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0" fillId="5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3" borderId="15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" borderId="18" xfId="0" applyFill="1" applyBorder="1" applyAlignment="1">
      <alignment/>
    </xf>
    <xf numFmtId="3" fontId="0" fillId="7" borderId="19" xfId="0" applyNumberFormat="1" applyFill="1" applyBorder="1" applyAlignment="1">
      <alignment/>
    </xf>
    <xf numFmtId="3" fontId="0" fillId="8" borderId="19" xfId="0" applyNumberFormat="1" applyFill="1" applyBorder="1" applyAlignment="1">
      <alignment/>
    </xf>
    <xf numFmtId="0" fontId="0" fillId="9" borderId="2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1" fillId="0" borderId="0" xfId="0" applyFont="1" applyBorder="1" applyAlignment="1">
      <alignment/>
    </xf>
    <xf numFmtId="0" fontId="0" fillId="6" borderId="7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10" borderId="0" xfId="0" applyFill="1" applyAlignment="1">
      <alignment/>
    </xf>
    <xf numFmtId="0" fontId="0" fillId="7" borderId="0" xfId="0" applyFill="1" applyAlignment="1">
      <alignment/>
    </xf>
    <xf numFmtId="0" fontId="3" fillId="0" borderId="0" xfId="0" applyFont="1" applyAlignment="1">
      <alignment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165" fontId="0" fillId="3" borderId="6" xfId="0" applyNumberForma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" fontId="0" fillId="6" borderId="0" xfId="0" applyNumberFormat="1" applyFill="1" applyAlignment="1">
      <alignment/>
    </xf>
    <xf numFmtId="1" fontId="0" fillId="7" borderId="0" xfId="0" applyNumberFormat="1" applyFill="1" applyAlignment="1">
      <alignment/>
    </xf>
    <xf numFmtId="0" fontId="0" fillId="11" borderId="21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9" xfId="0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4" borderId="0" xfId="0" applyNumberFormat="1" applyFill="1" applyAlignment="1">
      <alignment/>
    </xf>
    <xf numFmtId="0" fontId="4" fillId="0" borderId="0" xfId="0" applyFont="1" applyAlignment="1">
      <alignment/>
    </xf>
    <xf numFmtId="0" fontId="0" fillId="3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29</xdr:row>
      <xdr:rowOff>0</xdr:rowOff>
    </xdr:from>
    <xdr:to>
      <xdr:col>12</xdr:col>
      <xdr:colOff>257175</xdr:colOff>
      <xdr:row>37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876800"/>
          <a:ext cx="16954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L7" sqref="L7"/>
    </sheetView>
  </sheetViews>
  <sheetFormatPr defaultColWidth="9.140625" defaultRowHeight="12.75"/>
  <cols>
    <col min="12" max="12" width="12.421875" style="0" bestFit="1" customWidth="1"/>
  </cols>
  <sheetData>
    <row r="1" ht="23.25">
      <c r="A1" s="5" t="s">
        <v>15</v>
      </c>
    </row>
    <row r="2" spans="5:7" ht="12.75">
      <c r="E2" s="8" t="s">
        <v>4</v>
      </c>
      <c r="F2" s="9"/>
      <c r="G2" s="10">
        <f>60*360</f>
        <v>21600</v>
      </c>
    </row>
    <row r="3" spans="5:7" ht="12.75">
      <c r="E3" s="11" t="s">
        <v>5</v>
      </c>
      <c r="F3" s="12"/>
      <c r="G3" s="13">
        <f>G2/PI()</f>
        <v>6875.493541569879</v>
      </c>
    </row>
    <row r="4" spans="5:7" ht="12.75">
      <c r="E4" s="14" t="s">
        <v>6</v>
      </c>
      <c r="F4" s="15"/>
      <c r="G4" s="26">
        <f>G3/2</f>
        <v>3437.7467707849396</v>
      </c>
    </row>
    <row r="7" spans="1:14" ht="13.5" thickBot="1">
      <c r="A7" s="8" t="s">
        <v>16</v>
      </c>
      <c r="B7" s="9"/>
      <c r="C7" s="10"/>
      <c r="E7" s="8" t="s">
        <v>28</v>
      </c>
      <c r="F7" s="9"/>
      <c r="G7" s="10"/>
      <c r="I7" s="8" t="s">
        <v>54</v>
      </c>
      <c r="J7" s="9"/>
      <c r="K7" s="9"/>
      <c r="L7" s="10"/>
      <c r="N7" t="s">
        <v>53</v>
      </c>
    </row>
    <row r="8" spans="1:16" ht="13.5" thickBot="1">
      <c r="A8" s="14" t="s">
        <v>17</v>
      </c>
      <c r="B8" s="15"/>
      <c r="C8" s="36">
        <v>5</v>
      </c>
      <c r="E8" s="11" t="s">
        <v>0</v>
      </c>
      <c r="F8" s="12"/>
      <c r="G8" s="35">
        <v>275000</v>
      </c>
      <c r="I8" s="11" t="s">
        <v>7</v>
      </c>
      <c r="J8" s="12"/>
      <c r="K8" s="12"/>
      <c r="L8" s="34">
        <v>37000</v>
      </c>
      <c r="N8" s="8" t="s">
        <v>52</v>
      </c>
      <c r="O8" s="9"/>
      <c r="P8" s="10"/>
    </row>
    <row r="9" spans="5:16" ht="12.75">
      <c r="E9" s="11" t="s">
        <v>27</v>
      </c>
      <c r="F9" s="12"/>
      <c r="G9" s="13">
        <f>(G10)*1.609</f>
        <v>83.80208333333334</v>
      </c>
      <c r="I9" s="11"/>
      <c r="J9" s="12"/>
      <c r="K9" s="12"/>
      <c r="L9" s="13"/>
      <c r="N9" s="11" t="s">
        <v>50</v>
      </c>
      <c r="O9" s="12"/>
      <c r="P9" s="49">
        <f>0-(ACOS(G4/L13))*180/PI()</f>
        <v>-3.655241306978042</v>
      </c>
    </row>
    <row r="10" spans="1:16" ht="12.75">
      <c r="A10" s="8" t="s">
        <v>1</v>
      </c>
      <c r="B10" s="9"/>
      <c r="C10" s="27">
        <f>90+C8</f>
        <v>95</v>
      </c>
      <c r="E10" s="11" t="s">
        <v>2</v>
      </c>
      <c r="F10" s="12"/>
      <c r="G10" s="13">
        <f>G8/5280</f>
        <v>52.083333333333336</v>
      </c>
      <c r="I10" s="11" t="s">
        <v>2</v>
      </c>
      <c r="J10" s="12"/>
      <c r="K10" s="12"/>
      <c r="L10" s="13">
        <f>L8/5280</f>
        <v>7.007575757575758</v>
      </c>
      <c r="N10" s="11" t="s">
        <v>51</v>
      </c>
      <c r="O10" s="12"/>
      <c r="P10" s="13">
        <f>SQRT(SUMSQ(L13)-SUMSQ(G4))</f>
        <v>219.61249504814842</v>
      </c>
    </row>
    <row r="11" spans="1:16" ht="12.75">
      <c r="A11" s="11"/>
      <c r="B11" s="12"/>
      <c r="C11" s="13"/>
      <c r="E11" s="14" t="s">
        <v>3</v>
      </c>
      <c r="F11" s="15"/>
      <c r="G11" s="16">
        <f>G8/6076</f>
        <v>45.26003949967084</v>
      </c>
      <c r="I11" s="14" t="s">
        <v>3</v>
      </c>
      <c r="J11" s="15"/>
      <c r="K11" s="15"/>
      <c r="L11" s="16">
        <f>L8/6076</f>
        <v>6.089532587228439</v>
      </c>
      <c r="N11" s="48" t="s">
        <v>55</v>
      </c>
      <c r="O11" s="15"/>
      <c r="P11" s="16">
        <f>ABS(P9*60)</f>
        <v>219.3144784186825</v>
      </c>
    </row>
    <row r="12" spans="1:3" ht="12.75">
      <c r="A12" s="11"/>
      <c r="B12" s="12"/>
      <c r="C12" s="13"/>
    </row>
    <row r="13" spans="1:12" ht="12.75">
      <c r="A13" s="11"/>
      <c r="B13" s="12"/>
      <c r="C13" s="13"/>
      <c r="E13" s="8" t="s">
        <v>8</v>
      </c>
      <c r="F13" s="9"/>
      <c r="G13" s="27">
        <f>G4+G11</f>
        <v>3483.0068102846103</v>
      </c>
      <c r="I13" s="31" t="s">
        <v>9</v>
      </c>
      <c r="J13" s="32"/>
      <c r="K13" s="32"/>
      <c r="L13" s="33">
        <f>G4+L10</f>
        <v>3444.7543465425156</v>
      </c>
    </row>
    <row r="14" spans="1:7" ht="12.75">
      <c r="A14" s="11"/>
      <c r="B14" s="12"/>
      <c r="C14" s="13"/>
      <c r="E14" s="11"/>
      <c r="F14" s="12"/>
      <c r="G14" s="13"/>
    </row>
    <row r="15" spans="1:12" ht="12.75">
      <c r="A15" s="11"/>
      <c r="B15" s="12"/>
      <c r="C15" s="13"/>
      <c r="E15" s="11"/>
      <c r="F15" s="12"/>
      <c r="G15" s="13"/>
      <c r="I15" s="8" t="s">
        <v>18</v>
      </c>
      <c r="J15" s="9"/>
      <c r="K15" s="9"/>
      <c r="L15" s="10"/>
    </row>
    <row r="16" spans="1:12" ht="12.75">
      <c r="A16" s="11" t="s">
        <v>11</v>
      </c>
      <c r="B16" s="12"/>
      <c r="C16" s="13">
        <f>L13*SIN(PI()*(C10)/180)/G13</f>
        <v>0.9852538921604164</v>
      </c>
      <c r="E16" s="11"/>
      <c r="F16" s="12"/>
      <c r="G16" s="13"/>
      <c r="I16" s="11" t="s">
        <v>19</v>
      </c>
      <c r="J16" s="12">
        <v>90</v>
      </c>
      <c r="K16" s="12"/>
      <c r="L16" s="13"/>
    </row>
    <row r="17" spans="1:12" ht="12.75">
      <c r="A17" s="11"/>
      <c r="B17" s="12"/>
      <c r="C17" s="13"/>
      <c r="E17" s="11"/>
      <c r="F17" s="12"/>
      <c r="G17" s="13"/>
      <c r="I17" s="11" t="s">
        <v>20</v>
      </c>
      <c r="J17" s="12">
        <f>(G13)</f>
        <v>3483.0068102846103</v>
      </c>
      <c r="K17" s="12"/>
      <c r="L17" s="13"/>
    </row>
    <row r="18" spans="1:12" ht="12.75">
      <c r="A18" s="11" t="s">
        <v>10</v>
      </c>
      <c r="B18" s="12"/>
      <c r="C18" s="28">
        <f>(ASIN(C16))*180/PI()</f>
        <v>80.14829358604034</v>
      </c>
      <c r="E18" s="11"/>
      <c r="F18" s="12"/>
      <c r="G18" s="13"/>
      <c r="I18" s="11" t="s">
        <v>21</v>
      </c>
      <c r="J18" s="12">
        <f>(G4)</f>
        <v>3437.7467707849396</v>
      </c>
      <c r="K18" s="12"/>
      <c r="L18" s="13"/>
    </row>
    <row r="19" spans="1:12" ht="12.75">
      <c r="A19" s="11"/>
      <c r="B19" s="12"/>
      <c r="C19" s="13"/>
      <c r="E19" s="11"/>
      <c r="F19" s="12"/>
      <c r="G19" s="13"/>
      <c r="I19" s="14" t="s">
        <v>24</v>
      </c>
      <c r="J19" s="64">
        <f>(ACOS(J18/J17))*180/PI()</f>
        <v>9.246754874403118</v>
      </c>
      <c r="K19" s="15" t="s">
        <v>66</v>
      </c>
      <c r="L19" s="16"/>
    </row>
    <row r="20" spans="1:12" ht="12.75">
      <c r="A20" s="14" t="s">
        <v>12</v>
      </c>
      <c r="B20" s="15"/>
      <c r="C20" s="29">
        <f>180-C10-C18</f>
        <v>4.851706413959661</v>
      </c>
      <c r="E20" s="11" t="s">
        <v>13</v>
      </c>
      <c r="F20" s="12"/>
      <c r="G20" s="13">
        <f>C20*60</f>
        <v>291.1023848375797</v>
      </c>
      <c r="I20" s="47"/>
      <c r="J20" s="47"/>
      <c r="K20" s="47"/>
      <c r="L20" s="47"/>
    </row>
    <row r="21" spans="5:7" ht="12.75">
      <c r="E21" s="11"/>
      <c r="F21" s="12"/>
      <c r="G21" s="13"/>
    </row>
    <row r="22" spans="5:7" ht="12.75">
      <c r="E22" s="11"/>
      <c r="F22" s="12"/>
      <c r="G22" s="13"/>
    </row>
    <row r="23" spans="3:12" ht="12.75">
      <c r="C23" s="3"/>
      <c r="E23" s="14" t="s">
        <v>14</v>
      </c>
      <c r="F23" s="15"/>
      <c r="G23" s="30">
        <f>SIN(PI()*(C20)/180)*G13/SIN(PI()*(C10)/180)</f>
        <v>295.7078425920313</v>
      </c>
      <c r="H23" t="s">
        <v>90</v>
      </c>
      <c r="K23" s="6">
        <f>INT(G23*1.15*1.609)</f>
        <v>547</v>
      </c>
      <c r="L23" t="s">
        <v>89</v>
      </c>
    </row>
    <row r="25" spans="1:14" ht="13.5" thickBot="1">
      <c r="A25" s="8" t="s">
        <v>63</v>
      </c>
      <c r="B25" s="9"/>
      <c r="C25" s="9">
        <v>66.5</v>
      </c>
      <c r="D25" s="10"/>
      <c r="G25" s="8"/>
      <c r="H25" s="9" t="s">
        <v>22</v>
      </c>
      <c r="I25" s="9"/>
      <c r="J25" s="9"/>
      <c r="K25" s="9"/>
      <c r="L25" s="37">
        <f>SIN(PI()*(J19)/180)*G13</f>
        <v>559.6727440627191</v>
      </c>
      <c r="M25" s="9" t="s">
        <v>66</v>
      </c>
      <c r="N25" s="10"/>
    </row>
    <row r="26" spans="1:14" ht="13.5" thickBot="1">
      <c r="A26" s="11" t="s">
        <v>64</v>
      </c>
      <c r="B26" s="12"/>
      <c r="C26" s="7">
        <v>52.5</v>
      </c>
      <c r="D26" s="13"/>
      <c r="G26" s="11"/>
      <c r="H26" s="12"/>
      <c r="I26" s="12"/>
      <c r="J26" s="12"/>
      <c r="K26" s="12"/>
      <c r="L26" s="12"/>
      <c r="M26" s="12"/>
      <c r="N26" s="13"/>
    </row>
    <row r="27" spans="1:14" ht="12.75">
      <c r="A27" s="11" t="s">
        <v>62</v>
      </c>
      <c r="B27" s="12"/>
      <c r="C27" s="12"/>
      <c r="D27" s="13"/>
      <c r="G27" s="38">
        <f>(J19+C20)*60</f>
        <v>845.9076773017667</v>
      </c>
      <c r="H27" s="39" t="s">
        <v>23</v>
      </c>
      <c r="I27" s="12"/>
      <c r="J27" s="12"/>
      <c r="K27" s="12"/>
      <c r="L27" s="12"/>
      <c r="M27" s="12"/>
      <c r="N27" s="13"/>
    </row>
    <row r="28" spans="1:14" ht="12.75">
      <c r="A28" s="11"/>
      <c r="B28" s="12"/>
      <c r="C28" s="18">
        <f>C25-C26</f>
        <v>14</v>
      </c>
      <c r="D28" s="13"/>
      <c r="G28" s="40">
        <f>J19+C20</f>
        <v>14.09846128836278</v>
      </c>
      <c r="H28" s="15" t="s">
        <v>78</v>
      </c>
      <c r="I28" s="15"/>
      <c r="J28" s="15"/>
      <c r="K28" s="15"/>
      <c r="L28" s="15"/>
      <c r="M28" s="15"/>
      <c r="N28" s="16"/>
    </row>
    <row r="29" spans="1:4" ht="13.5" thickBot="1">
      <c r="A29" s="11" t="s">
        <v>65</v>
      </c>
      <c r="B29" s="12"/>
      <c r="C29" s="12"/>
      <c r="D29" s="13"/>
    </row>
    <row r="30" spans="1:9" ht="13.5" thickBot="1">
      <c r="A30" s="14"/>
      <c r="B30" s="15"/>
      <c r="C30" s="19">
        <f>C28*60</f>
        <v>840</v>
      </c>
      <c r="D30" s="16"/>
      <c r="E30" s="65"/>
      <c r="F30" s="66"/>
      <c r="G30" s="20" t="s">
        <v>25</v>
      </c>
      <c r="H30" s="21"/>
      <c r="I30" s="22">
        <f>G28-C28</f>
        <v>0.09846128836277934</v>
      </c>
    </row>
    <row r="31" spans="7:9" ht="13.5" thickBot="1">
      <c r="G31" s="23" t="s">
        <v>26</v>
      </c>
      <c r="H31" s="24"/>
      <c r="I31" s="25">
        <f>G27-C30</f>
        <v>5.907677301766739</v>
      </c>
    </row>
    <row r="32" spans="1:9" ht="12.75">
      <c r="A32" t="s">
        <v>33</v>
      </c>
      <c r="G32" s="12"/>
      <c r="H32" s="12"/>
      <c r="I32" s="41"/>
    </row>
    <row r="33" ht="12.75">
      <c r="A33" t="s">
        <v>32</v>
      </c>
    </row>
    <row r="34" ht="12.75">
      <c r="A34" t="s">
        <v>29</v>
      </c>
    </row>
    <row r="35" ht="12.75">
      <c r="A35" t="s">
        <v>31</v>
      </c>
    </row>
    <row r="36" ht="12.75">
      <c r="A36" t="s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F9" sqref="F9"/>
    </sheetView>
  </sheetViews>
  <sheetFormatPr defaultColWidth="9.140625" defaultRowHeight="12.75"/>
  <sheetData>
    <row r="1" spans="1:21" ht="24" thickBot="1">
      <c r="A1" s="44" t="s">
        <v>61</v>
      </c>
      <c r="M1" t="s">
        <v>77</v>
      </c>
      <c r="P1" t="s">
        <v>60</v>
      </c>
      <c r="Q1" s="55" t="s">
        <v>49</v>
      </c>
      <c r="R1" s="56" t="s">
        <v>33</v>
      </c>
      <c r="S1" s="56"/>
      <c r="T1" s="57"/>
      <c r="U1" s="58" t="s">
        <v>67</v>
      </c>
    </row>
    <row r="2" spans="17:21" ht="12.75">
      <c r="Q2" s="62" t="s">
        <v>75</v>
      </c>
      <c r="R2" s="58" t="s">
        <v>32</v>
      </c>
      <c r="S2" s="58"/>
      <c r="T2" s="59"/>
      <c r="U2" s="46">
        <v>360</v>
      </c>
    </row>
    <row r="3" spans="17:21" ht="12.75">
      <c r="Q3" s="62">
        <v>90</v>
      </c>
      <c r="R3" s="58" t="s">
        <v>88</v>
      </c>
      <c r="S3" s="58"/>
      <c r="T3" s="59"/>
      <c r="U3" s="46">
        <v>558</v>
      </c>
    </row>
    <row r="4" spans="17:21" ht="12.75">
      <c r="Q4" s="62">
        <v>60</v>
      </c>
      <c r="R4" s="58" t="s">
        <v>71</v>
      </c>
      <c r="S4" s="58"/>
      <c r="T4" s="59"/>
      <c r="U4" s="46">
        <v>580</v>
      </c>
    </row>
    <row r="5" spans="17:21" ht="12.75">
      <c r="Q5" s="62">
        <v>45</v>
      </c>
      <c r="R5" s="58" t="s">
        <v>70</v>
      </c>
      <c r="S5" s="58"/>
      <c r="T5" s="59"/>
      <c r="U5" s="46">
        <v>600</v>
      </c>
    </row>
    <row r="6" spans="17:21" ht="12.75">
      <c r="Q6" s="62">
        <v>30</v>
      </c>
      <c r="R6" s="58" t="s">
        <v>69</v>
      </c>
      <c r="S6" s="58"/>
      <c r="T6" s="59"/>
      <c r="U6" s="46">
        <v>630</v>
      </c>
    </row>
    <row r="7" spans="17:21" ht="12.75">
      <c r="Q7" s="62">
        <v>20</v>
      </c>
      <c r="R7" s="58" t="s">
        <v>68</v>
      </c>
      <c r="S7" s="58"/>
      <c r="T7" s="59"/>
      <c r="U7" s="46">
        <v>672</v>
      </c>
    </row>
    <row r="8" spans="17:21" ht="12.75">
      <c r="Q8" s="62">
        <v>14</v>
      </c>
      <c r="R8" s="58" t="s">
        <v>29</v>
      </c>
      <c r="S8" s="58"/>
      <c r="T8" s="59"/>
      <c r="U8" s="46">
        <v>720</v>
      </c>
    </row>
    <row r="9" spans="17:21" ht="12.75">
      <c r="Q9" s="62">
        <v>10</v>
      </c>
      <c r="R9" s="58" t="s">
        <v>76</v>
      </c>
      <c r="S9" s="58"/>
      <c r="T9" s="59"/>
      <c r="U9" s="46">
        <v>770</v>
      </c>
    </row>
    <row r="10" spans="17:21" ht="12.75">
      <c r="Q10" s="2">
        <v>6.6</v>
      </c>
      <c r="R10" s="2" t="s">
        <v>92</v>
      </c>
      <c r="S10" s="69"/>
      <c r="T10" s="28"/>
      <c r="U10" s="2">
        <v>840</v>
      </c>
    </row>
    <row r="11" spans="3:21" ht="12.75">
      <c r="C11" s="42" t="s">
        <v>43</v>
      </c>
      <c r="D11" s="1" t="s">
        <v>44</v>
      </c>
      <c r="E11" s="1" t="s">
        <v>45</v>
      </c>
      <c r="F11" s="1" t="s">
        <v>72</v>
      </c>
      <c r="G11" s="1" t="s">
        <v>48</v>
      </c>
      <c r="H11" s="43" t="s">
        <v>46</v>
      </c>
      <c r="I11" s="43"/>
      <c r="J11" s="1" t="s">
        <v>48</v>
      </c>
      <c r="K11" s="1" t="s">
        <v>72</v>
      </c>
      <c r="L11" s="1" t="s">
        <v>47</v>
      </c>
      <c r="M11" s="1" t="s">
        <v>44</v>
      </c>
      <c r="N11" s="42" t="s">
        <v>43</v>
      </c>
      <c r="O11" s="6"/>
      <c r="Q11" s="62">
        <v>3</v>
      </c>
      <c r="R11" s="58" t="s">
        <v>31</v>
      </c>
      <c r="S11" s="58"/>
      <c r="T11" s="59"/>
      <c r="U11" s="46">
        <v>960</v>
      </c>
    </row>
    <row r="12" spans="1:21" ht="12.75">
      <c r="A12" s="46" t="s">
        <v>34</v>
      </c>
      <c r="C12" s="42" t="s">
        <v>41</v>
      </c>
      <c r="D12" s="1" t="s">
        <v>38</v>
      </c>
      <c r="E12" s="1" t="s">
        <v>42</v>
      </c>
      <c r="F12" s="1" t="s">
        <v>73</v>
      </c>
      <c r="G12" s="1" t="s">
        <v>37</v>
      </c>
      <c r="H12" s="43" t="s">
        <v>40</v>
      </c>
      <c r="I12" s="43" t="s">
        <v>36</v>
      </c>
      <c r="J12" s="1" t="s">
        <v>37</v>
      </c>
      <c r="K12" s="1" t="s">
        <v>73</v>
      </c>
      <c r="L12" s="1" t="s">
        <v>42</v>
      </c>
      <c r="M12" s="1" t="s">
        <v>38</v>
      </c>
      <c r="N12" s="42" t="s">
        <v>41</v>
      </c>
      <c r="O12" s="6" t="s">
        <v>39</v>
      </c>
      <c r="Q12" s="63">
        <v>1</v>
      </c>
      <c r="R12" s="60" t="s">
        <v>30</v>
      </c>
      <c r="S12" s="60"/>
      <c r="T12" s="61"/>
      <c r="U12" s="46">
        <v>1080</v>
      </c>
    </row>
    <row r="14" ht="12.75">
      <c r="A14" s="45" t="s">
        <v>35</v>
      </c>
    </row>
    <row r="15" spans="1:15" ht="12.75">
      <c r="A15" s="46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7" ht="12.75">
      <c r="A16" s="46">
        <v>1</v>
      </c>
      <c r="B16" t="s">
        <v>59</v>
      </c>
      <c r="C16" s="53" t="s">
        <v>56</v>
      </c>
      <c r="D16" s="53" t="s">
        <v>56</v>
      </c>
      <c r="E16" s="53">
        <v>139</v>
      </c>
      <c r="F16" s="53">
        <v>212</v>
      </c>
      <c r="G16" s="53">
        <v>300</v>
      </c>
      <c r="H16" s="54">
        <v>356</v>
      </c>
      <c r="I16" s="54">
        <v>2025</v>
      </c>
      <c r="J16" s="53">
        <v>2122</v>
      </c>
      <c r="K16" s="53">
        <v>2208</v>
      </c>
      <c r="L16" s="53">
        <v>2240</v>
      </c>
      <c r="M16" s="53" t="s">
        <v>56</v>
      </c>
      <c r="N16" s="53" t="s">
        <v>56</v>
      </c>
      <c r="O16" s="67">
        <v>-14.5</v>
      </c>
      <c r="Q16" t="s">
        <v>74</v>
      </c>
    </row>
    <row r="17" spans="1:15" ht="12.75">
      <c r="A17" s="46">
        <v>2</v>
      </c>
      <c r="C17" s="53"/>
      <c r="D17" s="53"/>
      <c r="E17" s="53"/>
      <c r="F17" s="53"/>
      <c r="G17" s="53"/>
      <c r="H17" s="54"/>
      <c r="I17" s="54"/>
      <c r="J17" s="53"/>
      <c r="K17" s="53"/>
      <c r="L17" s="53"/>
      <c r="M17" s="53"/>
      <c r="N17" s="53"/>
      <c r="O17" s="67"/>
    </row>
    <row r="18" spans="1:15" ht="12.75">
      <c r="A18" s="46">
        <v>3</v>
      </c>
      <c r="C18" s="53"/>
      <c r="D18" s="53"/>
      <c r="E18" s="53"/>
      <c r="F18" s="53"/>
      <c r="G18" s="53"/>
      <c r="H18" s="54"/>
      <c r="I18" s="54"/>
      <c r="J18" s="53"/>
      <c r="K18" s="53"/>
      <c r="L18" s="53"/>
      <c r="M18" s="53"/>
      <c r="N18" s="53"/>
      <c r="O18" s="67"/>
    </row>
    <row r="19" spans="1:17" ht="12.75">
      <c r="A19" s="46">
        <v>4</v>
      </c>
      <c r="C19" s="53"/>
      <c r="D19" s="53"/>
      <c r="E19" s="53"/>
      <c r="F19" s="53"/>
      <c r="G19" s="53"/>
      <c r="H19" s="54"/>
      <c r="I19" s="54"/>
      <c r="J19" s="53"/>
      <c r="K19" s="53"/>
      <c r="L19" s="53"/>
      <c r="M19" s="53"/>
      <c r="N19" s="53"/>
      <c r="O19" s="67"/>
      <c r="Q19" s="68" t="s">
        <v>79</v>
      </c>
    </row>
    <row r="20" spans="1:17" ht="12.75">
      <c r="A20" s="46">
        <v>5</v>
      </c>
      <c r="B20" s="2" t="s">
        <v>57</v>
      </c>
      <c r="C20" s="52"/>
      <c r="D20" s="52"/>
      <c r="E20" s="52"/>
      <c r="F20" s="52"/>
      <c r="G20" s="52"/>
      <c r="H20" s="54"/>
      <c r="I20" s="54"/>
      <c r="J20" s="52"/>
      <c r="K20" s="52"/>
      <c r="L20" s="52"/>
      <c r="M20" s="52"/>
      <c r="N20" s="52"/>
      <c r="O20" s="67"/>
      <c r="Q20" t="s">
        <v>80</v>
      </c>
    </row>
    <row r="21" spans="1:17" ht="12.75">
      <c r="A21" s="46">
        <v>6</v>
      </c>
      <c r="B21" s="2" t="s">
        <v>58</v>
      </c>
      <c r="C21" s="52"/>
      <c r="D21" s="52"/>
      <c r="E21" s="52"/>
      <c r="F21" s="52"/>
      <c r="G21" s="52"/>
      <c r="H21" s="54"/>
      <c r="I21" s="54"/>
      <c r="J21" s="52"/>
      <c r="K21" s="52"/>
      <c r="L21" s="52"/>
      <c r="M21" s="52"/>
      <c r="N21" s="52"/>
      <c r="O21" s="67"/>
      <c r="Q21" t="s">
        <v>81</v>
      </c>
    </row>
    <row r="22" spans="1:15" ht="12.75">
      <c r="A22" s="46">
        <v>7</v>
      </c>
      <c r="C22" s="53"/>
      <c r="D22" s="53"/>
      <c r="E22" s="53"/>
      <c r="F22" s="53"/>
      <c r="G22" s="53"/>
      <c r="H22" s="54"/>
      <c r="I22" s="54"/>
      <c r="J22" s="53"/>
      <c r="K22" s="53"/>
      <c r="L22" s="53"/>
      <c r="M22" s="53"/>
      <c r="N22" s="53"/>
      <c r="O22" s="67"/>
    </row>
    <row r="23" spans="1:17" ht="12.75">
      <c r="A23" s="46">
        <v>8</v>
      </c>
      <c r="C23" s="53"/>
      <c r="D23" s="53"/>
      <c r="E23" s="53"/>
      <c r="F23" s="53"/>
      <c r="G23" s="53"/>
      <c r="H23" s="54"/>
      <c r="I23" s="54"/>
      <c r="J23" s="53"/>
      <c r="K23" s="53"/>
      <c r="L23" s="53"/>
      <c r="M23" s="53"/>
      <c r="N23" s="53"/>
      <c r="O23" s="67"/>
      <c r="Q23" t="s">
        <v>83</v>
      </c>
    </row>
    <row r="24" spans="1:17" ht="12.75">
      <c r="A24" s="46">
        <v>10</v>
      </c>
      <c r="C24" s="53"/>
      <c r="D24" s="53"/>
      <c r="E24" s="53"/>
      <c r="F24" s="53"/>
      <c r="G24" s="53"/>
      <c r="H24" s="54"/>
      <c r="I24" s="54"/>
      <c r="J24" s="53"/>
      <c r="K24" s="53"/>
      <c r="L24" s="53"/>
      <c r="M24" s="53"/>
      <c r="N24" s="53"/>
      <c r="O24" s="67"/>
      <c r="Q24" t="s">
        <v>82</v>
      </c>
    </row>
    <row r="25" spans="1:17" ht="12.75">
      <c r="A25" s="46"/>
      <c r="C25" s="17"/>
      <c r="D25" s="17"/>
      <c r="E25" s="17"/>
      <c r="F25" s="17"/>
      <c r="G25" s="17"/>
      <c r="H25" s="43"/>
      <c r="I25" s="43"/>
      <c r="J25" s="17"/>
      <c r="K25" s="17"/>
      <c r="L25" s="17"/>
      <c r="M25" s="17"/>
      <c r="N25" s="17"/>
      <c r="O25" s="4"/>
      <c r="Q25" t="s">
        <v>84</v>
      </c>
    </row>
    <row r="26" spans="1:15" ht="12.75">
      <c r="A26" s="46"/>
      <c r="C26" s="17"/>
      <c r="D26" s="17"/>
      <c r="E26" s="17"/>
      <c r="F26" s="17"/>
      <c r="G26" s="17"/>
      <c r="H26" s="43"/>
      <c r="I26" s="43"/>
      <c r="J26" s="17"/>
      <c r="K26" s="17"/>
      <c r="L26" s="17"/>
      <c r="M26" s="17"/>
      <c r="N26" s="17"/>
      <c r="O26" s="4"/>
    </row>
    <row r="27" spans="1:17" ht="12.75">
      <c r="A27" s="46"/>
      <c r="C27" s="17"/>
      <c r="D27" s="17"/>
      <c r="E27" s="17"/>
      <c r="F27" s="17"/>
      <c r="G27" s="17"/>
      <c r="H27" s="43"/>
      <c r="I27" s="43"/>
      <c r="J27" s="17"/>
      <c r="K27" s="17"/>
      <c r="L27" s="17"/>
      <c r="M27" s="17"/>
      <c r="N27" s="17"/>
      <c r="O27" s="4"/>
      <c r="Q27" t="s">
        <v>85</v>
      </c>
    </row>
    <row r="28" ht="12.75">
      <c r="Q28" t="s">
        <v>86</v>
      </c>
    </row>
    <row r="29" ht="12.75">
      <c r="Q29" t="s">
        <v>87</v>
      </c>
    </row>
    <row r="30" ht="12.75">
      <c r="Q30" t="s">
        <v>91</v>
      </c>
    </row>
    <row r="31" ht="12.75">
      <c r="Q31" t="s">
        <v>93</v>
      </c>
    </row>
    <row r="32" ht="12.75">
      <c r="Q32" t="s">
        <v>94</v>
      </c>
    </row>
    <row r="33" ht="12.75">
      <c r="Q33" t="s">
        <v>95</v>
      </c>
    </row>
    <row r="34" ht="12.75">
      <c r="Q34" t="s">
        <v>96</v>
      </c>
    </row>
    <row r="35" ht="12.75">
      <c r="Q35" t="s">
        <v>97</v>
      </c>
    </row>
    <row r="37" ht="12.75">
      <c r="Q37" t="s">
        <v>98</v>
      </c>
    </row>
    <row r="38" ht="12.75">
      <c r="Q38" t="s">
        <v>99</v>
      </c>
    </row>
    <row r="39" ht="12.75">
      <c r="Q39" t="s">
        <v>100</v>
      </c>
    </row>
    <row r="40" ht="12.75">
      <c r="Q40" t="s">
        <v>101</v>
      </c>
    </row>
    <row r="42" ht="12.75">
      <c r="Q42" t="s">
        <v>102</v>
      </c>
    </row>
    <row r="43" ht="12.75">
      <c r="Q43" t="s">
        <v>103</v>
      </c>
    </row>
    <row r="44" ht="12.75">
      <c r="Q44" t="s">
        <v>104</v>
      </c>
    </row>
    <row r="45" ht="12.75">
      <c r="Q45" t="s">
        <v>105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Boeing</dc:creator>
  <cp:keywords/>
  <dc:description/>
  <cp:lastModifiedBy>Boeing</cp:lastModifiedBy>
  <dcterms:created xsi:type="dcterms:W3CDTF">2003-06-30T02:19:08Z</dcterms:created>
  <dcterms:modified xsi:type="dcterms:W3CDTF">2003-06-30T16:47:22Z</dcterms:modified>
  <cp:category/>
  <cp:version/>
  <cp:contentType/>
  <cp:contentStatus/>
</cp:coreProperties>
</file>